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<sst xmlns="http://schemas.openxmlformats.org/spreadsheetml/2006/main" count="2034" uniqueCount="290">
  <si>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</si>
  <si>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</si>
  <si>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</si>
  <si>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</si>
  <si>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</si>
  <si>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</si>
  <si>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</si>
  <si>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</si>
  <si>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</si>
  <si>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</si>
  <si>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</si>
  <si>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</si>
  <si>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</si>
  <si>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</si>
  <si>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</si>
  <si>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</si>
  <si>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</si>
  <si>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</si>
  <si>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</si>
  <si>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</si>
  <si>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</si>
  <si>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</si>
  <si>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</si>
  <si>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</si>
  <si>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</si>
  <si>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</si>
  <si>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</si>
  <si>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</si>
  <si>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</si>
  <si>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</si>
  <si>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</si>
  <si>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</si>
  <si>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</si>
  <si>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</si>
  <si>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</si>
  <si>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</si>
  <si>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</si>
  <si>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</si>
  <si>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</si>
  <si>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</si>
  <si>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</si>
  <si>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</si>
  <si>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</si>
  <si>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</si>
  <si>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</si>
  <si>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</si>
  <si>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</si>
  <si>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</si>
  <si>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</si>
  <si>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</si>
  <si>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</si>
  <si>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</si>
  <si>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</si>
  <si>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</si>
  <si>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</si>
  <si>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</si>
  <si>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</si>
  <si>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</si>
  <si>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</si>
  <si>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</si>
  <si>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</si>
  <si>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</si>
  <si>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</si>
  <si>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</si>
  <si>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</si>
  <si>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</si>
  <si>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</si>
  <si>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</si>
  <si>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</si>
  <si>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</si>
  <si>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</si>
  <si>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</si>
  <si>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</si>
  <si>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</si>
  <si>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</si>
  <si>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</si>
  <si>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</si>
  <si>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</si>
  <si>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</si>
  <si>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</si>
  <si>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</si>
  <si>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</si>
  <si>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</si>
  <si>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</si>
  <si>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</si>
  <si>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</si>
  <si>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</si>
  <si>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</si>
  <si>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</si>
  <si>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</si>
  <si>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</si>
  <si>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</si>
  <si>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</si>
  <si>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</si>
  <si>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</si>
  <si>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</si>
  <si>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</si>
  <si>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</si>
  <si>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</si>
  <si>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</si>
  <si>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</si>
  <si>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</si>
  <si>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</si>
  <si>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</si>
  <si>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</si>
  <si>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</si>
  <si>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</si>
  <si>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</si>
  <si>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</si>
  <si>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</si>
  <si>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</si>
  <si>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</si>
  <si>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</si>
  <si>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</si>
  <si>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</si>
  <si>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</si>
  <si>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</si>
  <si>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</si>
  <si>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</si>
  <si>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</si>
  <si>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</si>
  <si>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</si>
  <si>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</si>
  <si>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</si>
  <si>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</si>
  <si>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</si>
  <si>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</si>
  <si>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</si>
  <si>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</si>
  <si>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</si>
  <si>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</si>
  <si>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</si>
  <si>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</si>
  <si>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</si>
  <si>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</si>
  <si>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</si>
  <si>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</si>
  <si>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</si>
  <si>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</si>
  <si>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</si>
  <si>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</si>
  <si>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</si>
  <si>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</si>
  <si>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</si>
  <si>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</si>
  <si>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</si>
  <si>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</si>
  <si>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</si>
  <si>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</si>
  <si>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</si>
  <si>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</si>
  <si>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</si>
  <si>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</si>
  <si>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</si>
  <si>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</si>
  <si>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</si>
  <si>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</si>
  <si>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</si>
  <si>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</si>
  <si>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</si>
  <si>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</si>
  <si>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</si>
  <si>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</si>
  <si>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</si>
  <si>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</si>
  <si>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</si>
  <si>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</si>
  <si>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</si>
  <si>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</si>
  <si>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</si>
  <si>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</si>
  <si>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</si>
  <si>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</si>
  <si>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</si>
  <si>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</si>
  <si>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</si>
  <si>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</si>
  <si>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</si>
  <si>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</si>
  <si>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</si>
  <si>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</si>
  <si>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</si>
  <si>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</si>
  <si>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</si>
  <si>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</si>
  <si>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</si>
  <si>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</si>
  <si>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</si>
  <si>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</si>
  <si>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</si>
  <si>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</si>
  <si>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</si>
  <si>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</si>
  <si>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</si>
  <si>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</si>
  <si>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</si>
  <si>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</si>
  <si>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</si>
  <si>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</si>
  <si>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</si>
  <si>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</si>
  <si>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</si>
  <si>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</si>
  <si>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</si>
  <si>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</si>
  <si>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</si>
  <si>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</si>
  <si>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</si>
  <si>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</si>
  <si>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</si>
  <si>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</si>
  <si>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</si>
  <si>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</si>
  <si>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</si>
  <si>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</si>
  <si>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</si>
  <si>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</si>
  <si>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</si>
  <si>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</si>
  <si>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</si>
  <si>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</si>
  <si>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</si>
  <si>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</si>
  <si>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</si>
  <si>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</si>
  <si>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</si>
  <si>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</si>
  <si>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</si>
  <si>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</si>
  <si>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</si>
  <si>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</si>
  <si>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</si>
  <si>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</si>
  <si>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</si>
  <si>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</si>
  <si>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</si>
  <si>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</si>
  <si>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</si>
  <si>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</si>
  <si>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</si>
  <si>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</si>
  <si>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</si>
  <si>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</si>
  <si>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</si>
  <si>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</si>
  <si>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</si>
  <si>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</si>
  <si>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</si>
  <si>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</si>
  <si>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</si>
  <si>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</si>
  <si>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</si>
  <si>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</si>
  <si>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</si>
  <si>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</si>
  <si>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</si>
  <si>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</si>
  <si>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</si>
  <si>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</si>
  <si>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</si>
  <si>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</si>
  <si>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</si>
  <si>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</si>
  <si>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</si>
  <si>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</si>
  <si>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</si>
  <si>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</si>
  <si>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</si>
  <si>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</si>
  <si>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</si>
  <si>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</si>
  <si>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</si>
  <si>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</si>
  <si>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</si>
  <si>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</si>
  <si>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</si>
  <si>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</si>
  <si>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</si>
  <si>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</si>
  <si>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</si>
  <si>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</si>
  <si>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</si>
  <si>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</si>
  <si>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</si>
  <si>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</si>
  <si>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</si>
  <si>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</si>
  <si>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</si>
  <si>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28.10.2014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</si>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</sst>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  <sheetName val="повернення по окремим платникам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9498096.809999999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151" sqref="F15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376516.79999999993</v>
      </c>
      <c r="G8" s="22">
        <f aca="true" t="shared" si="0" ref="G8:G30">F8-E8</f>
        <v>-14486.839999999967</v>
      </c>
      <c r="H8" s="51">
        <f>F8/E8*100</f>
        <v>96.29496032313153</v>
      </c>
      <c r="I8" s="36">
        <f aca="true" t="shared" si="1" ref="I8:I17">F8-D8</f>
        <v>-111959.50000000006</v>
      </c>
      <c r="J8" s="36">
        <f aca="true" t="shared" si="2" ref="J8:J14">F8/D8*100</f>
        <v>77.07985013807219</v>
      </c>
      <c r="K8" s="36">
        <f>F8-381548.5</f>
        <v>-5031.70000000007</v>
      </c>
      <c r="L8" s="136">
        <f>F8/381548.5</f>
        <v>0.9868124235844197</v>
      </c>
      <c r="M8" s="22">
        <f>M10+M19+M33+M56+M68+M30</f>
        <v>39644.799999999974</v>
      </c>
      <c r="N8" s="22">
        <f>N10+N19+N33+N56+N68+N30</f>
        <v>28226.750000000007</v>
      </c>
      <c r="O8" s="36">
        <f aca="true" t="shared" si="3" ref="O8:O71">N8-M8</f>
        <v>-11418.049999999967</v>
      </c>
      <c r="P8" s="36">
        <f>F8/M8*100</f>
        <v>949.7255629994354</v>
      </c>
      <c r="Q8" s="36">
        <f>N8-37261.3</f>
        <v>-9034.549999999996</v>
      </c>
      <c r="R8" s="134">
        <f>N8/37261.3</f>
        <v>0.7575352980169775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308009</v>
      </c>
      <c r="G9" s="22">
        <f t="shared" si="0"/>
        <v>308009</v>
      </c>
      <c r="H9" s="20"/>
      <c r="I9" s="56">
        <f t="shared" si="1"/>
        <v>-79004.20000000001</v>
      </c>
      <c r="J9" s="56">
        <f t="shared" si="2"/>
        <v>79.58617432170271</v>
      </c>
      <c r="K9" s="56"/>
      <c r="L9" s="135"/>
      <c r="M9" s="20">
        <f>M10+M17</f>
        <v>32246.599999999977</v>
      </c>
      <c r="N9" s="20">
        <f>N10+N17</f>
        <v>25395.320000000007</v>
      </c>
      <c r="O9" s="36">
        <f t="shared" si="3"/>
        <v>-6851.27999999997</v>
      </c>
      <c r="P9" s="56">
        <f>F9/M9*100</f>
        <v>955.1673664820485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308009</v>
      </c>
      <c r="G10" s="49">
        <f t="shared" si="0"/>
        <v>-11697.099999999977</v>
      </c>
      <c r="H10" s="40">
        <f aca="true" t="shared" si="4" ref="H10:H17">F10/E10*100</f>
        <v>96.34129595900735</v>
      </c>
      <c r="I10" s="56">
        <f t="shared" si="1"/>
        <v>-79004.20000000001</v>
      </c>
      <c r="J10" s="56">
        <f t="shared" si="2"/>
        <v>79.58617432170271</v>
      </c>
      <c r="K10" s="141">
        <f>F10-302092.5</f>
        <v>5916.5</v>
      </c>
      <c r="L10" s="142">
        <f>F10/302092.5</f>
        <v>1.0195850608671184</v>
      </c>
      <c r="M10" s="40">
        <f>E10-вересень!E10</f>
        <v>32246.599999999977</v>
      </c>
      <c r="N10" s="40">
        <f>F10-вересень!F10</f>
        <v>25395.320000000007</v>
      </c>
      <c r="O10" s="53">
        <f t="shared" si="3"/>
        <v>-6851.27999999997</v>
      </c>
      <c r="P10" s="56">
        <f aca="true" t="shared" si="5" ref="P10:P17">N10/M10*100</f>
        <v>78.75348098714291</v>
      </c>
      <c r="Q10" s="141">
        <f>N10-29418.1</f>
        <v>-4022.7799999999916</v>
      </c>
      <c r="R10" s="142">
        <f>N10/29418.1</f>
        <v>0.8632549348870256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-892.37</v>
      </c>
      <c r="G19" s="49">
        <f t="shared" si="0"/>
        <v>-1959.9699999999998</v>
      </c>
      <c r="H19" s="40">
        <f aca="true" t="shared" si="6" ref="H19:H29">F19/E19*100</f>
        <v>-83.58654926938928</v>
      </c>
      <c r="I19" s="56">
        <f aca="true" t="shared" si="7" ref="I19:I29">F19-D19</f>
        <v>-1892.37</v>
      </c>
      <c r="J19" s="56">
        <f aca="true" t="shared" si="8" ref="J19:J29">F19/D19*100</f>
        <v>-89.237</v>
      </c>
      <c r="K19" s="167">
        <f>F19-6843.6</f>
        <v>-7735.97</v>
      </c>
      <c r="L19" s="168">
        <f>F19/6843.6</f>
        <v>-0.1303948214390087</v>
      </c>
      <c r="M19" s="40">
        <f>E19-вересень!E19</f>
        <v>11</v>
      </c>
      <c r="N19" s="40">
        <f>F19-вересень!F19</f>
        <v>-487.9</v>
      </c>
      <c r="O19" s="53">
        <f t="shared" si="3"/>
        <v>-498.9</v>
      </c>
      <c r="P19" s="56">
        <f aca="true" t="shared" si="9" ref="P19:P29">N19/M19*100</f>
        <v>-4435.454545454545</v>
      </c>
      <c r="Q19" s="56">
        <f>N19-364.5</f>
        <v>-852.4</v>
      </c>
      <c r="R19" s="135">
        <f>N19/364.5</f>
        <v>-1.3385459533607682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-393.39</v>
      </c>
      <c r="G29" s="49">
        <f t="shared" si="0"/>
        <v>-1200.99</v>
      </c>
      <c r="H29" s="40">
        <f t="shared" si="6"/>
        <v>-48.710995542347696</v>
      </c>
      <c r="I29" s="56">
        <f t="shared" si="7"/>
        <v>-1323.3899999999999</v>
      </c>
      <c r="J29" s="56">
        <f t="shared" si="8"/>
        <v>-42.3</v>
      </c>
      <c r="K29" s="148">
        <f>F29-2915.3</f>
        <v>-3308.69</v>
      </c>
      <c r="L29" s="149">
        <f>F29/2915.3</f>
        <v>-0.13493980036359893</v>
      </c>
      <c r="M29" s="40">
        <f>E29-вересень!E29</f>
        <v>11</v>
      </c>
      <c r="N29" s="40">
        <f>F29-вересень!F29</f>
        <v>-489</v>
      </c>
      <c r="O29" s="148">
        <f t="shared" si="3"/>
        <v>-500</v>
      </c>
      <c r="P29" s="145">
        <f t="shared" si="9"/>
        <v>-4445.454545454545</v>
      </c>
      <c r="Q29" s="148">
        <f>N29-55.3</f>
        <v>-544.3</v>
      </c>
      <c r="R29" s="149">
        <f>N29/55.3</f>
        <v>-8.842676311030742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3.35</v>
      </c>
      <c r="G30" s="49">
        <f t="shared" si="0"/>
        <v>-24.15</v>
      </c>
      <c r="H30" s="40"/>
      <c r="I30" s="56"/>
      <c r="J30" s="56"/>
      <c r="K30" s="56">
        <f>F30-25.1</f>
        <v>-21.75</v>
      </c>
      <c r="L30" s="149">
        <f>F30/25.1</f>
        <v>0.13346613545816732</v>
      </c>
      <c r="M30" s="40">
        <f>E30-вересень!E30</f>
        <v>0.5</v>
      </c>
      <c r="N30" s="40">
        <f>F30-вересень!F30</f>
        <v>0.040000000000000036</v>
      </c>
      <c r="O30" s="53">
        <f t="shared" si="3"/>
        <v>-0.45999999999999996</v>
      </c>
      <c r="P30" s="56"/>
      <c r="Q30" s="56">
        <f>N30-0</f>
        <v>0.040000000000000036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64059.92</v>
      </c>
      <c r="G33" s="49">
        <f aca="true" t="shared" si="14" ref="G33:G72">F33-E33</f>
        <v>-475.91999999999825</v>
      </c>
      <c r="H33" s="40">
        <f aca="true" t="shared" si="15" ref="H33:H67">F33/E33*100</f>
        <v>99.26254930593605</v>
      </c>
      <c r="I33" s="56">
        <f>F33-D33</f>
        <v>-29506.08</v>
      </c>
      <c r="J33" s="56">
        <f aca="true" t="shared" si="16" ref="J33:J72">F33/D33*100</f>
        <v>68.46495521877604</v>
      </c>
      <c r="K33" s="141">
        <f>F33-67415.8</f>
        <v>-3355.8800000000047</v>
      </c>
      <c r="L33" s="142">
        <f>F33/67415.8</f>
        <v>0.950221164771463</v>
      </c>
      <c r="M33" s="40">
        <f>E33-вересень!E33</f>
        <v>6833.699999999997</v>
      </c>
      <c r="N33" s="40">
        <f>F33-вересень!F33</f>
        <v>2827.459999999999</v>
      </c>
      <c r="O33" s="53">
        <f t="shared" si="3"/>
        <v>-4006.239999999998</v>
      </c>
      <c r="P33" s="56">
        <f aca="true" t="shared" si="17" ref="P33:P67">N33/M33*100</f>
        <v>41.375243279628904</v>
      </c>
      <c r="Q33" s="141">
        <f>N33-7002.6</f>
        <v>-4175.140000000001</v>
      </c>
      <c r="R33" s="142">
        <f>N33/7002.6</f>
        <v>0.40377288435723857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47810.5</v>
      </c>
      <c r="G55" s="144">
        <f t="shared" si="14"/>
        <v>404.9599999999991</v>
      </c>
      <c r="H55" s="146">
        <f t="shared" si="15"/>
        <v>100.85424614928972</v>
      </c>
      <c r="I55" s="145">
        <f t="shared" si="18"/>
        <v>-22455.5</v>
      </c>
      <c r="J55" s="145">
        <f t="shared" si="16"/>
        <v>68.04215410013377</v>
      </c>
      <c r="K55" s="148">
        <f>F55-49156.62</f>
        <v>-1346.1200000000026</v>
      </c>
      <c r="L55" s="149">
        <f>F55/49156.62</f>
        <v>0.9726156924540377</v>
      </c>
      <c r="M55" s="40">
        <f>E55-вересень!E55</f>
        <v>4933.700000000004</v>
      </c>
      <c r="N55" s="40">
        <f>F55-вересень!F55</f>
        <v>2389.0999999999985</v>
      </c>
      <c r="O55" s="148">
        <f t="shared" si="3"/>
        <v>-2544.600000000006</v>
      </c>
      <c r="P55" s="148">
        <f t="shared" si="17"/>
        <v>48.424103613920515</v>
      </c>
      <c r="Q55" s="160">
        <f>N55-5343.11</f>
        <v>-2954.010000000001</v>
      </c>
      <c r="R55" s="161">
        <f>N55/5343.11</f>
        <v>0.44713659273344525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1.51+5333.85</f>
        <v>5335.360000000001</v>
      </c>
      <c r="G56" s="49">
        <f t="shared" si="14"/>
        <v>-331.1399999999994</v>
      </c>
      <c r="H56" s="40">
        <f t="shared" si="15"/>
        <v>94.15618106414895</v>
      </c>
      <c r="I56" s="56">
        <f t="shared" si="18"/>
        <v>-1524.6399999999994</v>
      </c>
      <c r="J56" s="56">
        <f t="shared" si="16"/>
        <v>77.77492711370263</v>
      </c>
      <c r="K56" s="56">
        <f>F56-5173.5</f>
        <v>161.86000000000058</v>
      </c>
      <c r="L56" s="135">
        <f>F56/5173.5</f>
        <v>1.0312863631970621</v>
      </c>
      <c r="M56" s="40">
        <f>E56-вересень!E56</f>
        <v>553</v>
      </c>
      <c r="N56" s="40">
        <f>F56-вересень!F56</f>
        <v>491.8299999999999</v>
      </c>
      <c r="O56" s="53">
        <f t="shared" si="3"/>
        <v>-61.17000000000007</v>
      </c>
      <c r="P56" s="56">
        <f t="shared" si="17"/>
        <v>88.93851717902349</v>
      </c>
      <c r="Q56" s="56">
        <f>N56-479</f>
        <v>12.829999999999927</v>
      </c>
      <c r="R56" s="135">
        <f>N56/479</f>
        <v>1.0267849686847597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F68-(-2)</f>
        <v>3.54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N68-(-0.3)</f>
        <v>0.3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10754.56</v>
      </c>
      <c r="G74" s="50">
        <f aca="true" t="shared" si="24" ref="G74:G92">F74-E74</f>
        <v>-2941.9400000000005</v>
      </c>
      <c r="H74" s="51">
        <f aca="true" t="shared" si="25" ref="H74:H87">F74/E74*100</f>
        <v>78.52049793742927</v>
      </c>
      <c r="I74" s="36">
        <f aca="true" t="shared" si="26" ref="I74:I92">F74-D74</f>
        <v>-7603.74</v>
      </c>
      <c r="J74" s="36">
        <f aca="true" t="shared" si="27" ref="J74:J92">F74/D74*100</f>
        <v>58.58145906756073</v>
      </c>
      <c r="K74" s="36">
        <f>F74-16325.3</f>
        <v>-5570.74</v>
      </c>
      <c r="L74" s="136">
        <f>F74/16325.3</f>
        <v>0.6587664545215095</v>
      </c>
      <c r="M74" s="22">
        <f>M77+M86+M88+M89+M94+M95+M96+M97+M99+M87+M104</f>
        <v>1516.5</v>
      </c>
      <c r="N74" s="22">
        <f>N77+N86+N88+N89+N94+N95+N96+N97+N99+N32+N104+N87+N103</f>
        <v>995.1269999999995</v>
      </c>
      <c r="O74" s="55">
        <f aca="true" t="shared" si="28" ref="O74:O92">N74-M74</f>
        <v>-521.3730000000005</v>
      </c>
      <c r="P74" s="36">
        <f>N74/M74*100</f>
        <v>65.6199802176063</v>
      </c>
      <c r="Q74" s="36">
        <f>N74-1739.9</f>
        <v>-744.7730000000006</v>
      </c>
      <c r="R74" s="136">
        <f>N74/1739.9</f>
        <v>0.571944939364331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279.6</v>
      </c>
      <c r="G87" s="49">
        <f t="shared" si="24"/>
        <v>59.60000000000002</v>
      </c>
      <c r="H87" s="40">
        <f t="shared" si="25"/>
        <v>127.0909090909091</v>
      </c>
      <c r="I87" s="56">
        <f t="shared" si="26"/>
        <v>-220.39999999999998</v>
      </c>
      <c r="J87" s="56">
        <f t="shared" si="27"/>
        <v>55.92</v>
      </c>
      <c r="K87" s="56">
        <f>F87-222.2</f>
        <v>57.400000000000034</v>
      </c>
      <c r="L87" s="135">
        <f>F87/222.2</f>
        <v>1.2583258325832585</v>
      </c>
      <c r="M87" s="40">
        <f>E87-вересень!E87</f>
        <v>0</v>
      </c>
      <c r="N87" s="40">
        <f>F87-вересень!F87</f>
        <v>7.350000000000023</v>
      </c>
      <c r="O87" s="53">
        <f t="shared" si="28"/>
        <v>7.350000000000023</v>
      </c>
      <c r="P87" s="56" t="e">
        <f t="shared" si="29"/>
        <v>#DIV/0!</v>
      </c>
      <c r="Q87" s="56">
        <f>N87-11.9</f>
        <v>-4.549999999999978</v>
      </c>
      <c r="R87" s="135">
        <f>N87/11.9</f>
        <v>0.6176470588235313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110.52</v>
      </c>
      <c r="G89" s="49">
        <f t="shared" si="24"/>
        <v>-33.480000000000004</v>
      </c>
      <c r="H89" s="40">
        <f>F89/E89*100</f>
        <v>76.75</v>
      </c>
      <c r="I89" s="56">
        <f t="shared" si="26"/>
        <v>-64.48</v>
      </c>
      <c r="J89" s="56">
        <f t="shared" si="27"/>
        <v>63.154285714285706</v>
      </c>
      <c r="K89" s="56">
        <f>F89-137.6</f>
        <v>-27.08</v>
      </c>
      <c r="L89" s="135">
        <f>F89/137.6</f>
        <v>0.8031976744186047</v>
      </c>
      <c r="M89" s="40">
        <f>E89-вересень!E89</f>
        <v>15</v>
      </c>
      <c r="N89" s="40">
        <f>F89-вересень!F89</f>
        <v>12.569999999999993</v>
      </c>
      <c r="O89" s="53">
        <f t="shared" si="28"/>
        <v>-2.430000000000007</v>
      </c>
      <c r="P89" s="56">
        <f>N89/M89*100</f>
        <v>83.79999999999995</v>
      </c>
      <c r="Q89" s="56">
        <f>N89-14.4</f>
        <v>-1.8300000000000072</v>
      </c>
      <c r="R89" s="135">
        <f>N89/14.4</f>
        <v>0.8729166666666661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5937.15</v>
      </c>
      <c r="G95" s="49">
        <f t="shared" si="31"/>
        <v>105.64999999999964</v>
      </c>
      <c r="H95" s="40">
        <f>F95/E95*100</f>
        <v>101.81171225242218</v>
      </c>
      <c r="I95" s="56">
        <f t="shared" si="32"/>
        <v>-1062.8500000000004</v>
      </c>
      <c r="J95" s="56">
        <f>F95/D95*100</f>
        <v>84.81642857142857</v>
      </c>
      <c r="K95" s="56">
        <f>F95-6170</f>
        <v>-232.85000000000036</v>
      </c>
      <c r="L95" s="135">
        <f>F95/6170</f>
        <v>0.9622609400324148</v>
      </c>
      <c r="M95" s="40">
        <f>E95-вересень!E95</f>
        <v>575</v>
      </c>
      <c r="N95" s="40">
        <f>F95-вересень!F95</f>
        <v>571.7299999999996</v>
      </c>
      <c r="O95" s="53">
        <f t="shared" si="33"/>
        <v>-3.2700000000004366</v>
      </c>
      <c r="P95" s="56">
        <f>N95/M95*100</f>
        <v>99.43130434782601</v>
      </c>
      <c r="Q95" s="56">
        <f>N95-652.5</f>
        <v>-80.77000000000044</v>
      </c>
      <c r="R95" s="135">
        <f>N95/652.5</f>
        <v>0.8762145593869725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859.06</v>
      </c>
      <c r="G96" s="49">
        <f t="shared" si="31"/>
        <v>-45.440000000000055</v>
      </c>
      <c r="H96" s="40">
        <f>F96/E96*100</f>
        <v>94.97622996130458</v>
      </c>
      <c r="I96" s="56">
        <f t="shared" si="32"/>
        <v>-340.94000000000005</v>
      </c>
      <c r="J96" s="56">
        <f>F96/D96*100</f>
        <v>71.58833333333334</v>
      </c>
      <c r="K96" s="56">
        <f>F96-930</f>
        <v>-70.94000000000005</v>
      </c>
      <c r="L96" s="135">
        <f>F96/930</f>
        <v>0.9237204301075268</v>
      </c>
      <c r="M96" s="40">
        <f>E96-вересень!E96</f>
        <v>110</v>
      </c>
      <c r="N96" s="40">
        <f>F96-вересень!F96</f>
        <v>76.67999999999995</v>
      </c>
      <c r="O96" s="53">
        <f t="shared" si="33"/>
        <v>-33.32000000000005</v>
      </c>
      <c r="P96" s="56">
        <f>N96/M96*100</f>
        <v>69.70909090909086</v>
      </c>
      <c r="Q96" s="56">
        <f>N96-134.5</f>
        <v>-57.82000000000005</v>
      </c>
      <c r="R96" s="135">
        <f>N96/134.5</f>
        <v>0.5701115241635684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3420.63</v>
      </c>
      <c r="G99" s="49">
        <f t="shared" si="31"/>
        <v>83.63000000000011</v>
      </c>
      <c r="H99" s="40">
        <f>F99/E99*100</f>
        <v>102.50614324243332</v>
      </c>
      <c r="I99" s="56">
        <f t="shared" si="32"/>
        <v>-1152.0699999999997</v>
      </c>
      <c r="J99" s="56">
        <f>F99/D99*100</f>
        <v>74.8054759769939</v>
      </c>
      <c r="K99" s="56">
        <f>F99-3845.9</f>
        <v>-425.27</v>
      </c>
      <c r="L99" s="135">
        <f>F99/3845.9</f>
        <v>0.8894225018851244</v>
      </c>
      <c r="M99" s="40">
        <f>E99-вересень!E99</f>
        <v>330</v>
      </c>
      <c r="N99" s="40">
        <f>F99-вересень!F99</f>
        <v>326.797</v>
      </c>
      <c r="O99" s="53">
        <f t="shared" si="33"/>
        <v>-3.2029999999999745</v>
      </c>
      <c r="P99" s="56">
        <f>N99/M99*100</f>
        <v>99.02939393939396</v>
      </c>
      <c r="Q99" s="56">
        <f>N99-434.7</f>
        <v>-107.90299999999996</v>
      </c>
      <c r="R99" s="135">
        <f>N99/434.7</f>
        <v>0.7517759374281114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830.7</v>
      </c>
      <c r="G102" s="144"/>
      <c r="H102" s="146"/>
      <c r="I102" s="145"/>
      <c r="J102" s="145"/>
      <c r="K102" s="148">
        <f>F102-647.5</f>
        <v>183.20000000000005</v>
      </c>
      <c r="L102" s="149">
        <f>F102/647.5</f>
        <v>1.282934362934363</v>
      </c>
      <c r="M102" s="40">
        <f>E102-вересень!E102</f>
        <v>0</v>
      </c>
      <c r="N102" s="40">
        <f>F102-вересень!F102</f>
        <v>72.30000000000007</v>
      </c>
      <c r="O102" s="53"/>
      <c r="P102" s="60"/>
      <c r="Q102" s="60">
        <f>N102-103.3</f>
        <v>-30.99999999999993</v>
      </c>
      <c r="R102" s="138">
        <f>N102/103.3</f>
        <v>0.699903194578897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-44.870000000000005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20.63</v>
      </c>
      <c r="G105" s="49">
        <f>F105-E105</f>
        <v>-6.57</v>
      </c>
      <c r="H105" s="40">
        <f>F105/E105*100</f>
        <v>75.84558823529412</v>
      </c>
      <c r="I105" s="56">
        <f t="shared" si="34"/>
        <v>-24.37</v>
      </c>
      <c r="J105" s="56">
        <f aca="true" t="shared" si="36" ref="J105:J110">F105/D105*100</f>
        <v>45.84444444444444</v>
      </c>
      <c r="K105" s="56">
        <f>F105-17.2</f>
        <v>3.4299999999999997</v>
      </c>
      <c r="L105" s="135">
        <f>F105/17.2</f>
        <v>1.1994186046511628</v>
      </c>
      <c r="M105" s="40">
        <f>E105-вересень!E105</f>
        <v>3</v>
      </c>
      <c r="N105" s="40">
        <f>F105-вересень!F105</f>
        <v>0.7300000000000004</v>
      </c>
      <c r="O105" s="53">
        <f t="shared" si="35"/>
        <v>-2.2699999999999996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387292.3599999999</v>
      </c>
      <c r="G107" s="175">
        <f>F107-E107</f>
        <v>-17434.97999999998</v>
      </c>
      <c r="H107" s="51">
        <f>F107/E107*100</f>
        <v>95.6921664842311</v>
      </c>
      <c r="I107" s="36">
        <f t="shared" si="34"/>
        <v>-119587.24000000005</v>
      </c>
      <c r="J107" s="36">
        <f t="shared" si="36"/>
        <v>76.40717046020396</v>
      </c>
      <c r="K107" s="36">
        <f>F107-397893.6</f>
        <v>-10601.240000000049</v>
      </c>
      <c r="L107" s="136">
        <f>F107/397893.6</f>
        <v>0.97335659583366</v>
      </c>
      <c r="M107" s="22">
        <f>M8+M74+M105+M106</f>
        <v>41164.299999999974</v>
      </c>
      <c r="N107" s="22">
        <f>N8+N74+N105+N106</f>
        <v>29222.607000000007</v>
      </c>
      <c r="O107" s="55">
        <f t="shared" si="35"/>
        <v>-11941.692999999967</v>
      </c>
      <c r="P107" s="36">
        <f>N107/M107*100</f>
        <v>70.99017109485652</v>
      </c>
      <c r="Q107" s="36">
        <f>N107-39005.1</f>
        <v>-9782.492999999991</v>
      </c>
      <c r="R107" s="136">
        <f>N107/39005.1</f>
        <v>0.7491996431235918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308868.06</v>
      </c>
      <c r="G108" s="153">
        <f>G10-G18+G96</f>
        <v>-11742.539999999977</v>
      </c>
      <c r="H108" s="72">
        <f>F108/E108*100</f>
        <v>96.33744486302076</v>
      </c>
      <c r="I108" s="52">
        <f t="shared" si="34"/>
        <v>-79345.14000000001</v>
      </c>
      <c r="J108" s="52">
        <f t="shared" si="36"/>
        <v>79.56145231537721</v>
      </c>
      <c r="K108" s="52">
        <f>F108-303111.5</f>
        <v>5756.559999999998</v>
      </c>
      <c r="L108" s="137">
        <f>F108/303111.5</f>
        <v>1.0189915592117091</v>
      </c>
      <c r="M108" s="71">
        <f>M10-M18+M96</f>
        <v>32356.599999999977</v>
      </c>
      <c r="N108" s="71">
        <f>N10-N18+N96</f>
        <v>25472.000000000007</v>
      </c>
      <c r="O108" s="53">
        <f t="shared" si="35"/>
        <v>-6884.599999999969</v>
      </c>
      <c r="P108" s="52">
        <f>N108/M108*100</f>
        <v>78.72273353813449</v>
      </c>
      <c r="Q108" s="52">
        <f>N108-29552.7</f>
        <v>-4080.6999999999935</v>
      </c>
      <c r="R108" s="137">
        <f>N108/29552.7</f>
        <v>0.8619178619889217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78424.29999999993</v>
      </c>
      <c r="G109" s="176">
        <f>F109-E109</f>
        <v>-5692.440000000002</v>
      </c>
      <c r="H109" s="72">
        <f>F109/E109*100</f>
        <v>93.232690663</v>
      </c>
      <c r="I109" s="52">
        <f t="shared" si="34"/>
        <v>-40242.100000000035</v>
      </c>
      <c r="J109" s="52">
        <f t="shared" si="36"/>
        <v>66.08804177088035</v>
      </c>
      <c r="K109" s="52">
        <f>F109-94782.1</f>
        <v>-16357.800000000076</v>
      </c>
      <c r="L109" s="137">
        <f>F109/94782.1</f>
        <v>0.8274167801726268</v>
      </c>
      <c r="M109" s="71">
        <f>M107-M108</f>
        <v>8807.699999999997</v>
      </c>
      <c r="N109" s="71">
        <f>N107-N108</f>
        <v>3750.607</v>
      </c>
      <c r="O109" s="53">
        <f t="shared" si="35"/>
        <v>-5057.092999999997</v>
      </c>
      <c r="P109" s="52">
        <f>N109/M109*100</f>
        <v>42.58327372639851</v>
      </c>
      <c r="Q109" s="52">
        <f>N109-9452.4</f>
        <v>-5701.793</v>
      </c>
      <c r="R109" s="137">
        <f>N109/9452.4</f>
        <v>0.3967888578562058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308868.06</v>
      </c>
      <c r="G110" s="111">
        <f>F110-E110</f>
        <v>-6372.640000000014</v>
      </c>
      <c r="H110" s="72">
        <f>F110/E110*100</f>
        <v>97.97848437717592</v>
      </c>
      <c r="I110" s="81">
        <f t="shared" si="34"/>
        <v>-79345.14000000001</v>
      </c>
      <c r="J110" s="52">
        <f t="shared" si="36"/>
        <v>79.56145231537721</v>
      </c>
      <c r="K110" s="52"/>
      <c r="L110" s="137"/>
      <c r="M110" s="72">
        <f>E110-вересень!E110</f>
        <v>32356.600000000035</v>
      </c>
      <c r="N110" s="71">
        <f>N108</f>
        <v>25472.000000000007</v>
      </c>
      <c r="O110" s="63">
        <f t="shared" si="35"/>
        <v>-6884.600000000028</v>
      </c>
      <c r="P110" s="52">
        <f>N110/M110*100</f>
        <v>78.72273353813435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1304.33</v>
      </c>
      <c r="G115" s="49">
        <f t="shared" si="37"/>
        <v>-1702.67</v>
      </c>
      <c r="H115" s="40">
        <f aca="true" t="shared" si="39" ref="H115:H126">F115/E115*100</f>
        <v>43.37645493847688</v>
      </c>
      <c r="I115" s="60">
        <f t="shared" si="38"/>
        <v>-2367.17</v>
      </c>
      <c r="J115" s="60">
        <f aca="true" t="shared" si="40" ref="J115:J121">F115/D115*100</f>
        <v>35.52580689091652</v>
      </c>
      <c r="K115" s="60">
        <f>F115-3128</f>
        <v>-1823.67</v>
      </c>
      <c r="L115" s="138">
        <f>F115/3128</f>
        <v>0.416985294117647</v>
      </c>
      <c r="M115" s="40">
        <f>E115-вересень!E115</f>
        <v>327.4000000000001</v>
      </c>
      <c r="N115" s="40">
        <f>F115-вересень!F115</f>
        <v>181.39999999999986</v>
      </c>
      <c r="O115" s="53">
        <f aca="true" t="shared" si="41" ref="O115:O126">N115-M115</f>
        <v>-146.00000000000023</v>
      </c>
      <c r="P115" s="60">
        <f>N115/M115*100</f>
        <v>55.40623091020153</v>
      </c>
      <c r="Q115" s="60">
        <f>N115-50.4</f>
        <v>130.99999999999986</v>
      </c>
      <c r="R115" s="138">
        <f>N115/50.4</f>
        <v>3.5992063492063466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261.79</v>
      </c>
      <c r="G116" s="49">
        <f t="shared" si="37"/>
        <v>39.29000000000002</v>
      </c>
      <c r="H116" s="40">
        <f t="shared" si="39"/>
        <v>117.65842696629214</v>
      </c>
      <c r="I116" s="60">
        <f t="shared" si="38"/>
        <v>-6.310000000000002</v>
      </c>
      <c r="J116" s="60">
        <f t="shared" si="40"/>
        <v>97.64640059679223</v>
      </c>
      <c r="K116" s="60">
        <f>F116-231.4</f>
        <v>30.390000000000015</v>
      </c>
      <c r="L116" s="138">
        <f>F116/231.4</f>
        <v>1.13133102852204</v>
      </c>
      <c r="M116" s="40">
        <f>E116-вересень!E116</f>
        <v>22</v>
      </c>
      <c r="N116" s="40">
        <f>F116-вересень!F116</f>
        <v>24.630000000000024</v>
      </c>
      <c r="O116" s="53">
        <f t="shared" si="41"/>
        <v>2.630000000000024</v>
      </c>
      <c r="P116" s="60">
        <f>N116/M116*100</f>
        <v>111.95454545454557</v>
      </c>
      <c r="Q116" s="60">
        <f>N116-21.4</f>
        <v>3.2300000000000253</v>
      </c>
      <c r="R116" s="138">
        <f>N116/21.4</f>
        <v>1.1509345794392536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1566.08</v>
      </c>
      <c r="G117" s="62">
        <f t="shared" si="37"/>
        <v>-1663.42</v>
      </c>
      <c r="H117" s="72">
        <f t="shared" si="39"/>
        <v>48.49295556587707</v>
      </c>
      <c r="I117" s="61">
        <f t="shared" si="38"/>
        <v>-2373.52</v>
      </c>
      <c r="J117" s="61">
        <f t="shared" si="40"/>
        <v>39.752259112600264</v>
      </c>
      <c r="K117" s="61">
        <f>F117-33371</f>
        <v>-31804.92</v>
      </c>
      <c r="L117" s="139">
        <f>F117/3371</f>
        <v>0.4645743102936814</v>
      </c>
      <c r="M117" s="62">
        <f>M115+M116+M114</f>
        <v>349.4000000000001</v>
      </c>
      <c r="N117" s="38">
        <f>SUM(N114:N116)</f>
        <v>206.12999999999988</v>
      </c>
      <c r="O117" s="61">
        <f t="shared" si="41"/>
        <v>-143.2700000000002</v>
      </c>
      <c r="P117" s="61">
        <f>N117/M117*100</f>
        <v>58.99542072123636</v>
      </c>
      <c r="Q117" s="61">
        <f>N117-71.8</f>
        <v>134.32999999999987</v>
      </c>
      <c r="R117" s="139">
        <f>N117/71.8</f>
        <v>2.8708913649025054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339.28</v>
      </c>
      <c r="G119" s="49">
        <f t="shared" si="37"/>
        <v>78.77999999999997</v>
      </c>
      <c r="H119" s="40">
        <f t="shared" si="39"/>
        <v>130.24184261036467</v>
      </c>
      <c r="I119" s="60">
        <f t="shared" si="38"/>
        <v>72.07999999999998</v>
      </c>
      <c r="J119" s="60">
        <f t="shared" si="40"/>
        <v>126.97604790419162</v>
      </c>
      <c r="K119" s="60">
        <f>F119-234.2</f>
        <v>105.07999999999998</v>
      </c>
      <c r="L119" s="138">
        <f>F119/234.2</f>
        <v>1.44867634500427</v>
      </c>
      <c r="M119" s="40">
        <f>E119-вересень!E119</f>
        <v>73</v>
      </c>
      <c r="N119" s="40">
        <f>F119-вересень!F119</f>
        <v>25.129999999999995</v>
      </c>
      <c r="O119" s="53">
        <f>N119-M119</f>
        <v>-47.870000000000005</v>
      </c>
      <c r="P119" s="60">
        <f>N119/M119*100</f>
        <v>34.42465753424656</v>
      </c>
      <c r="Q119" s="60">
        <f>N119-59.7</f>
        <v>-34.57000000000001</v>
      </c>
      <c r="R119" s="138">
        <f>N119/59.7</f>
        <v>0.4209380234505862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66520.66</v>
      </c>
      <c r="G120" s="49">
        <f t="shared" si="37"/>
        <v>6508.060000000005</v>
      </c>
      <c r="H120" s="40">
        <f t="shared" si="39"/>
        <v>110.84448932390865</v>
      </c>
      <c r="I120" s="53">
        <f t="shared" si="38"/>
        <v>-5455.330000000002</v>
      </c>
      <c r="J120" s="60">
        <f t="shared" si="40"/>
        <v>92.42062526684246</v>
      </c>
      <c r="K120" s="60">
        <f>F120-58190.1</f>
        <v>8330.560000000005</v>
      </c>
      <c r="L120" s="138">
        <f>F120/58190.1</f>
        <v>1.1431611219090534</v>
      </c>
      <c r="M120" s="40">
        <f>E120-вересень!E120</f>
        <v>7500</v>
      </c>
      <c r="N120" s="40">
        <f>F120-вересень!F120</f>
        <v>6984.200000000004</v>
      </c>
      <c r="O120" s="53">
        <f t="shared" si="41"/>
        <v>-515.7999999999956</v>
      </c>
      <c r="P120" s="60">
        <f aca="true" t="shared" si="42" ref="P120:P125">N120/M120*100</f>
        <v>93.12266666666672</v>
      </c>
      <c r="Q120" s="60">
        <f>N120-7531</f>
        <v>-546.7999999999956</v>
      </c>
      <c r="R120" s="138">
        <f>N120/7531</f>
        <v>0.9273934404461565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1754.78</v>
      </c>
      <c r="G121" s="49">
        <f t="shared" si="37"/>
        <v>-1444.6200000000001</v>
      </c>
      <c r="H121" s="40">
        <f t="shared" si="39"/>
        <v>54.84715884228293</v>
      </c>
      <c r="I121" s="60">
        <f t="shared" si="38"/>
        <v>-2995.2200000000003</v>
      </c>
      <c r="J121" s="60">
        <f t="shared" si="40"/>
        <v>36.94273684210526</v>
      </c>
      <c r="K121" s="60">
        <f>F121-1289.6</f>
        <v>465.18000000000006</v>
      </c>
      <c r="L121" s="138">
        <f>F121/1289.6</f>
        <v>1.3607165012406948</v>
      </c>
      <c r="M121" s="40">
        <f>E121-вересень!E121</f>
        <v>1476.4</v>
      </c>
      <c r="N121" s="40">
        <f>F121-вересень!F121</f>
        <v>0.049999999999954525</v>
      </c>
      <c r="O121" s="53">
        <f t="shared" si="41"/>
        <v>-1476.3500000000001</v>
      </c>
      <c r="P121" s="60">
        <f t="shared" si="42"/>
        <v>0.0033866160931965944</v>
      </c>
      <c r="Q121" s="60">
        <f>N121-0</f>
        <v>0.049999999999954525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2732.53</v>
      </c>
      <c r="G122" s="49">
        <f t="shared" si="37"/>
        <v>-14843.699999999999</v>
      </c>
      <c r="H122" s="40">
        <f t="shared" si="39"/>
        <v>15.546735562745823</v>
      </c>
      <c r="I122" s="60">
        <f t="shared" si="38"/>
        <v>-20344.600000000002</v>
      </c>
      <c r="J122" s="60">
        <f>F122/D122*100</f>
        <v>11.84085716031413</v>
      </c>
      <c r="K122" s="60">
        <f>F122-22665.8</f>
        <v>-19933.27</v>
      </c>
      <c r="L122" s="138">
        <f>F122/22665.8</f>
        <v>0.12055740366543428</v>
      </c>
      <c r="M122" s="40">
        <f>E122-вересень!E122</f>
        <v>4648.800000000001</v>
      </c>
      <c r="N122" s="40">
        <f>F122-вересень!F122</f>
        <v>339.2900000000004</v>
      </c>
      <c r="O122" s="53">
        <f t="shared" si="41"/>
        <v>-4309.51</v>
      </c>
      <c r="P122" s="60">
        <f t="shared" si="42"/>
        <v>7.298442608845301</v>
      </c>
      <c r="Q122" s="60">
        <f>N122-361.9</f>
        <v>-22.60999999999956</v>
      </c>
      <c r="R122" s="138">
        <f>N122/361.9</f>
        <v>0.9375241779497111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1110.6</v>
      </c>
      <c r="G123" s="49">
        <f t="shared" si="37"/>
        <v>-510.21000000000004</v>
      </c>
      <c r="H123" s="40">
        <f t="shared" si="39"/>
        <v>68.52129490810151</v>
      </c>
      <c r="I123" s="60">
        <f t="shared" si="38"/>
        <v>-889.4000000000001</v>
      </c>
      <c r="J123" s="60">
        <f>F123/D123*100</f>
        <v>55.52999999999999</v>
      </c>
      <c r="K123" s="60">
        <f>F123-1722.8</f>
        <v>-612.2</v>
      </c>
      <c r="L123" s="138">
        <f>F123/1722.8</f>
        <v>0.6446482470397028</v>
      </c>
      <c r="M123" s="40">
        <f>E123-вересень!E123</f>
        <v>189.58999999999992</v>
      </c>
      <c r="N123" s="40">
        <f>F123-вересень!F123</f>
        <v>35.68999999999983</v>
      </c>
      <c r="O123" s="53">
        <f t="shared" si="41"/>
        <v>-153.9000000000001</v>
      </c>
      <c r="P123" s="60">
        <f t="shared" si="42"/>
        <v>18.824832533361384</v>
      </c>
      <c r="Q123" s="60">
        <f>N123-62.5</f>
        <v>-26.810000000000173</v>
      </c>
      <c r="R123" s="138">
        <f>N123/62.5</f>
        <v>0.5710399999999972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72457.85</v>
      </c>
      <c r="G124" s="62">
        <f t="shared" si="37"/>
        <v>-10211.689999999988</v>
      </c>
      <c r="H124" s="72">
        <f t="shared" si="39"/>
        <v>87.64757853981044</v>
      </c>
      <c r="I124" s="61">
        <f t="shared" si="38"/>
        <v>-29612.47</v>
      </c>
      <c r="J124" s="61">
        <f>F124/D124*100</f>
        <v>70.98816776512507</v>
      </c>
      <c r="K124" s="61">
        <f>F124-84102.5</f>
        <v>-11644.649999999994</v>
      </c>
      <c r="L124" s="139">
        <f>F124/84102.5</f>
        <v>0.8615421658095777</v>
      </c>
      <c r="M124" s="62">
        <f>M120+M121+M122+M123+M119</f>
        <v>13887.79</v>
      </c>
      <c r="N124" s="62">
        <f>N120+N121+N122+N123+N119</f>
        <v>7384.360000000004</v>
      </c>
      <c r="O124" s="61">
        <f t="shared" si="41"/>
        <v>-6503.429999999997</v>
      </c>
      <c r="P124" s="61">
        <f t="shared" si="42"/>
        <v>53.17159893690791</v>
      </c>
      <c r="Q124" s="61">
        <f>N124-8015.1</f>
        <v>-630.7399999999961</v>
      </c>
      <c r="R124" s="139">
        <f>N124/8015.1</f>
        <v>0.9213060348592037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31.38</v>
      </c>
      <c r="G125" s="49">
        <f t="shared" si="37"/>
        <v>0.21999999999999886</v>
      </c>
      <c r="H125" s="40">
        <f t="shared" si="39"/>
        <v>100.70603337612323</v>
      </c>
      <c r="I125" s="60">
        <f t="shared" si="38"/>
        <v>-12.120000000000001</v>
      </c>
      <c r="J125" s="60">
        <f>F125/D125*100</f>
        <v>72.13793103448276</v>
      </c>
      <c r="K125" s="60">
        <f>F125-114</f>
        <v>-82.62</v>
      </c>
      <c r="L125" s="138">
        <f>F125/114</f>
        <v>0.2752631578947368</v>
      </c>
      <c r="M125" s="40">
        <f>E125-вересень!E125</f>
        <v>4</v>
      </c>
      <c r="N125" s="40">
        <f>F125-вересень!F125</f>
        <v>7.209999999999997</v>
      </c>
      <c r="O125" s="53">
        <f t="shared" si="41"/>
        <v>3.2099999999999973</v>
      </c>
      <c r="P125" s="60">
        <f t="shared" si="42"/>
        <v>180.24999999999994</v>
      </c>
      <c r="Q125" s="60">
        <f>N125-2.2</f>
        <v>5.009999999999997</v>
      </c>
      <c r="R125" s="138">
        <f>N125/2.2</f>
        <v>3.2772727272727256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7377.48</v>
      </c>
      <c r="G128" s="49">
        <f aca="true" t="shared" si="43" ref="G128:G135">F128-E128</f>
        <v>656.9799999999996</v>
      </c>
      <c r="H128" s="40">
        <f>F128/E128*100</f>
        <v>109.77576073208839</v>
      </c>
      <c r="I128" s="60">
        <f aca="true" t="shared" si="44" ref="I128:I135">F128-D128</f>
        <v>-1322.5200000000004</v>
      </c>
      <c r="J128" s="60">
        <f>F128/D128*100</f>
        <v>84.79862068965517</v>
      </c>
      <c r="K128" s="60">
        <f>F128-8728.7</f>
        <v>-1351.2200000000012</v>
      </c>
      <c r="L128" s="138">
        <f>F128/8728.7</f>
        <v>0.8451980249063433</v>
      </c>
      <c r="M128" s="40">
        <f>E128-вересень!E128</f>
        <v>2</v>
      </c>
      <c r="N128" s="40">
        <f>F128-вересень!F128</f>
        <v>8.599999999999454</v>
      </c>
      <c r="O128" s="53">
        <f aca="true" t="shared" si="45" ref="O128:O135">N128-M128</f>
        <v>6.599999999999454</v>
      </c>
      <c r="P128" s="60">
        <f>N128/M128*100</f>
        <v>429.9999999999727</v>
      </c>
      <c r="Q128" s="60">
        <f>N128-13.5</f>
        <v>-4.900000000000546</v>
      </c>
      <c r="R128" s="162">
        <f>N128/13.5</f>
        <v>0.6370370370369967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1.18</v>
      </c>
      <c r="G129" s="49">
        <f t="shared" si="43"/>
        <v>1.18</v>
      </c>
      <c r="H129" s="40"/>
      <c r="I129" s="60">
        <f t="shared" si="44"/>
        <v>1.18</v>
      </c>
      <c r="J129" s="60"/>
      <c r="K129" s="60">
        <f>F129-1.1</f>
        <v>0.07999999999999985</v>
      </c>
      <c r="L129" s="138">
        <f>F129/1.1</f>
        <v>1.0727272727272725</v>
      </c>
      <c r="M129" s="40">
        <f>E129-вересень!E129</f>
        <v>0</v>
      </c>
      <c r="N129" s="40">
        <f>F129-вересень!F129</f>
        <v>0.09999999999999987</v>
      </c>
      <c r="O129" s="53">
        <f t="shared" si="45"/>
        <v>0.09999999999999987</v>
      </c>
      <c r="P129" s="60"/>
      <c r="Q129" s="60">
        <f>N129-0.1</f>
        <v>-1.3877787807814457E-16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7429.5199999999995</v>
      </c>
      <c r="G130" s="62">
        <f t="shared" si="43"/>
        <v>670.6599999999999</v>
      </c>
      <c r="H130" s="72">
        <f>F130/E130*100</f>
        <v>109.92267926839733</v>
      </c>
      <c r="I130" s="61">
        <f t="shared" si="44"/>
        <v>-1321.1800000000012</v>
      </c>
      <c r="J130" s="61">
        <f>F130/D130*100</f>
        <v>84.90200783937284</v>
      </c>
      <c r="K130" s="61">
        <f>F130-8860.9</f>
        <v>-1431.38</v>
      </c>
      <c r="L130" s="139">
        <f>G130/8860.9</f>
        <v>0.07568757123994176</v>
      </c>
      <c r="M130" s="62">
        <f>M125+M128+M129+M127</f>
        <v>6</v>
      </c>
      <c r="N130" s="62">
        <f>N125+N128+N129+N127</f>
        <v>15.909999999999451</v>
      </c>
      <c r="O130" s="61">
        <f t="shared" si="45"/>
        <v>9.909999999999451</v>
      </c>
      <c r="P130" s="61">
        <f>N130/M130*100</f>
        <v>265.16666666665753</v>
      </c>
      <c r="Q130" s="61">
        <f>N130-24.5</f>
        <v>-8.590000000000549</v>
      </c>
      <c r="R130" s="137">
        <f>N130/24.5</f>
        <v>0.6493877551020184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32.63</v>
      </c>
      <c r="G131" s="49">
        <f>F131-E131</f>
        <v>8.780000000000001</v>
      </c>
      <c r="H131" s="40">
        <f>F131/E131*100</f>
        <v>136.81341719077568</v>
      </c>
      <c r="I131" s="60">
        <f>F131-D131</f>
        <v>2.6300000000000026</v>
      </c>
      <c r="J131" s="60">
        <f>F131/D131*100</f>
        <v>108.76666666666668</v>
      </c>
      <c r="K131" s="60">
        <f>F131-28</f>
        <v>4.630000000000003</v>
      </c>
      <c r="L131" s="138">
        <f>F131/28</f>
        <v>1.165357142857143</v>
      </c>
      <c r="M131" s="40">
        <f>E131-вересень!E131</f>
        <v>0.40000000000000213</v>
      </c>
      <c r="N131" s="40">
        <f>F131-вересень!F131</f>
        <v>0.7700000000000031</v>
      </c>
      <c r="O131" s="53">
        <f>N131-M131</f>
        <v>0.370000000000001</v>
      </c>
      <c r="P131" s="60">
        <f>N131/M131*100</f>
        <v>192.49999999999977</v>
      </c>
      <c r="Q131" s="60">
        <f>N131-2.6</f>
        <v>-1.829999999999997</v>
      </c>
      <c r="R131" s="138">
        <f>N131/2.6</f>
        <v>0.2961538461538473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81486.08000000002</v>
      </c>
      <c r="G134" s="50">
        <f t="shared" si="43"/>
        <v>-11195.669999999984</v>
      </c>
      <c r="H134" s="51">
        <f>F134/E134*100</f>
        <v>87.92030793548894</v>
      </c>
      <c r="I134" s="36">
        <f t="shared" si="44"/>
        <v>-33304.53999999999</v>
      </c>
      <c r="J134" s="36">
        <f>F134/D134*100</f>
        <v>70.9867060566447</v>
      </c>
      <c r="K134" s="36">
        <f>F134-96362.3</f>
        <v>-14876.219999999987</v>
      </c>
      <c r="L134" s="136">
        <f>F134/96362.3</f>
        <v>0.8456219911728966</v>
      </c>
      <c r="M134" s="31">
        <f>M117+M131+M124+M130+M133+M132</f>
        <v>14243.59</v>
      </c>
      <c r="N134" s="31">
        <f>N117+N131+N124+N130+N133+N132</f>
        <v>7607.170000000004</v>
      </c>
      <c r="O134" s="36">
        <f t="shared" si="45"/>
        <v>-6636.419999999996</v>
      </c>
      <c r="P134" s="36">
        <f>N134/M134*100</f>
        <v>53.40767320598251</v>
      </c>
      <c r="Q134" s="36">
        <f>N134-8114</f>
        <v>-506.8299999999963</v>
      </c>
      <c r="R134" s="136">
        <f>N134/8114</f>
        <v>0.9375363569139763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468778.43999999994</v>
      </c>
      <c r="G135" s="50">
        <f t="shared" si="43"/>
        <v>-28630.649999999965</v>
      </c>
      <c r="H135" s="51">
        <f>F135/E135*100</f>
        <v>94.24404367037201</v>
      </c>
      <c r="I135" s="36">
        <f t="shared" si="44"/>
        <v>-152891.78000000003</v>
      </c>
      <c r="J135" s="36">
        <f>F135/D135*100</f>
        <v>75.40628856244714</v>
      </c>
      <c r="K135" s="36">
        <f>F135-494255.9</f>
        <v>-25477.46000000008</v>
      </c>
      <c r="L135" s="136">
        <f>F135/494255.9</f>
        <v>0.9484528965663332</v>
      </c>
      <c r="M135" s="22">
        <f>M107+M134</f>
        <v>55407.88999999997</v>
      </c>
      <c r="N135" s="22">
        <f>N107+N134</f>
        <v>36829.77700000001</v>
      </c>
      <c r="O135" s="36">
        <f t="shared" si="45"/>
        <v>-18578.11299999996</v>
      </c>
      <c r="P135" s="36">
        <f>N135/M135*100</f>
        <v>66.47027526224159</v>
      </c>
      <c r="Q135" s="36">
        <f>N135-47119.1</f>
        <v>-10289.32299999999</v>
      </c>
      <c r="R135" s="136">
        <f>N135/47119.1</f>
        <v>0.7816315888885825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4</v>
      </c>
      <c r="D137" s="4" t="s">
        <v>118</v>
      </c>
    </row>
    <row r="138" spans="2:17" ht="31.5">
      <c r="B138" s="78" t="s">
        <v>154</v>
      </c>
      <c r="C138" s="39">
        <f>IF(O107&lt;0,ABS(O107/C137),0)</f>
        <v>2985.4232499999916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41939</v>
      </c>
      <c r="D139" s="39">
        <v>752.6</v>
      </c>
      <c r="N139" s="194"/>
      <c r="O139" s="194"/>
    </row>
    <row r="140" spans="3:15" ht="15.75">
      <c r="C140" s="120">
        <v>41936</v>
      </c>
      <c r="D140" s="39">
        <v>697.6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41935</v>
      </c>
      <c r="D141" s="39">
        <v>1791.4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116476.71772</v>
      </c>
      <c r="E143" s="80"/>
      <c r="F143" s="100" t="s">
        <v>147</v>
      </c>
      <c r="G143" s="190" t="s">
        <v>149</v>
      </c>
      <c r="H143" s="190"/>
      <c r="I143" s="116">
        <v>107456.12118999999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9498.09681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758.4</v>
      </c>
      <c r="G102" s="144"/>
      <c r="H102" s="146"/>
      <c r="I102" s="145"/>
      <c r="J102" s="145"/>
      <c r="K102" s="148">
        <f>F102-545.2</f>
        <v>213.19999999999993</v>
      </c>
      <c r="L102" s="149">
        <f>F102/545.2</f>
        <v>1.3910491562729272</v>
      </c>
      <c r="M102" s="40">
        <f>E102-серпень!E102</f>
        <v>0</v>
      </c>
      <c r="N102" s="40">
        <f>F102-серпень!F102</f>
        <v>122.60000000000002</v>
      </c>
      <c r="O102" s="53"/>
      <c r="P102" s="60"/>
      <c r="Q102" s="60">
        <f>N102-124.1</f>
        <v>-1.4999999999999716</v>
      </c>
      <c r="R102" s="138">
        <f>N102/124.1</f>
        <v>0.9879129734085417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9498.09681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2014-10-28T09:45:19Z</cp:lastPrinted>
  <dcterms:created xsi:type="dcterms:W3CDTF">2003-07-28T11:27:56Z</dcterms:created>
  <dcterms:modified xsi:type="dcterms:W3CDTF">2014-10-28T09:54:26Z</dcterms:modified>
  <cp:category/>
  <cp:version/>
  <cp:contentType/>
  <cp:contentStatus/>
</cp:coreProperties>
</file>